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240" yWindow="240" windowWidth="25360" windowHeight="18120" tabRatio="500"/>
  </bookViews>
  <sheets>
    <sheet name="17. INVOICE ASSUMPTIONS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11" i="1"/>
  <c r="F11" i="1"/>
  <c r="E12" i="1"/>
  <c r="F12" i="1"/>
  <c r="E14" i="1"/>
  <c r="F14" i="1"/>
  <c r="E15" i="1"/>
  <c r="F15" i="1"/>
  <c r="E16" i="1"/>
  <c r="F16" i="1"/>
  <c r="E17" i="1"/>
  <c r="F17" i="1"/>
  <c r="E18" i="1"/>
  <c r="F18" i="1"/>
  <c r="E20" i="1"/>
  <c r="F20" i="1"/>
  <c r="E21" i="1"/>
  <c r="F21" i="1"/>
  <c r="E22" i="1"/>
  <c r="F22" i="1"/>
  <c r="E24" i="1"/>
  <c r="F24" i="1"/>
  <c r="E25" i="1"/>
  <c r="F25" i="1"/>
  <c r="E26" i="1"/>
  <c r="F26" i="1"/>
  <c r="E27" i="1"/>
  <c r="F27" i="1"/>
  <c r="E28" i="1"/>
  <c r="F28" i="1"/>
  <c r="E29" i="1"/>
  <c r="F29" i="1"/>
  <c r="E31" i="1"/>
  <c r="F31" i="1"/>
  <c r="E32" i="1"/>
  <c r="F32" i="1"/>
  <c r="E33" i="1"/>
  <c r="F33" i="1"/>
  <c r="E35" i="1"/>
  <c r="F35" i="1"/>
  <c r="E36" i="1"/>
  <c r="F36" i="1"/>
  <c r="E37" i="1"/>
  <c r="F37" i="1"/>
  <c r="E38" i="1"/>
  <c r="F38" i="1"/>
  <c r="E39" i="1"/>
  <c r="F39" i="1"/>
  <c r="E40" i="1"/>
  <c r="F40" i="1"/>
  <c r="E44" i="1"/>
  <c r="F44" i="1"/>
  <c r="E47" i="1"/>
  <c r="F47" i="1"/>
  <c r="G47" i="1"/>
  <c r="E48" i="1"/>
  <c r="F48" i="1"/>
  <c r="G48" i="1"/>
  <c r="E49" i="1"/>
  <c r="F49" i="1"/>
  <c r="G49" i="1"/>
  <c r="E50" i="1"/>
  <c r="F50" i="1"/>
  <c r="G50" i="1"/>
  <c r="H46" i="1"/>
  <c r="E52" i="1"/>
  <c r="F52" i="1"/>
  <c r="G52" i="1"/>
  <c r="E53" i="1"/>
  <c r="F53" i="1"/>
  <c r="G53" i="1"/>
  <c r="H51" i="1"/>
  <c r="E54" i="1"/>
  <c r="F54" i="1"/>
  <c r="G54" i="1"/>
  <c r="E57" i="1"/>
  <c r="F57" i="1"/>
  <c r="G57" i="1"/>
  <c r="F59" i="1"/>
  <c r="E59" i="1"/>
  <c r="G59" i="1"/>
  <c r="F60" i="1"/>
  <c r="E60" i="1"/>
  <c r="G60" i="1"/>
  <c r="F61" i="1"/>
  <c r="E61" i="1"/>
  <c r="G61" i="1"/>
  <c r="F62" i="1"/>
  <c r="E62" i="1"/>
  <c r="G62" i="1"/>
  <c r="F63" i="1"/>
  <c r="E63" i="1"/>
  <c r="G63" i="1"/>
  <c r="F66" i="1"/>
  <c r="E66" i="1"/>
  <c r="G66" i="1"/>
  <c r="F67" i="1"/>
  <c r="E67" i="1"/>
  <c r="G67" i="1"/>
  <c r="F68" i="1"/>
  <c r="E68" i="1"/>
  <c r="G68" i="1"/>
  <c r="F71" i="1"/>
  <c r="E71" i="1"/>
  <c r="G71" i="1"/>
  <c r="F72" i="1"/>
  <c r="E72" i="1"/>
  <c r="G72" i="1"/>
  <c r="F73" i="1"/>
  <c r="E73" i="1"/>
  <c r="G73" i="1"/>
  <c r="H56" i="1"/>
  <c r="E77" i="1"/>
  <c r="F77" i="1"/>
  <c r="G77" i="1"/>
  <c r="E78" i="1"/>
  <c r="F78" i="1"/>
  <c r="G78" i="1"/>
  <c r="E79" i="1"/>
  <c r="F79" i="1"/>
  <c r="G79" i="1"/>
  <c r="E80" i="1"/>
  <c r="F80" i="1"/>
  <c r="G80" i="1"/>
  <c r="E82" i="1"/>
  <c r="F82" i="1"/>
  <c r="G82" i="1"/>
  <c r="E83" i="1"/>
  <c r="F83" i="1"/>
  <c r="G83" i="1"/>
  <c r="E85" i="1"/>
  <c r="F85" i="1"/>
  <c r="G85" i="1"/>
  <c r="E86" i="1"/>
  <c r="F86" i="1"/>
  <c r="G86" i="1"/>
  <c r="E87" i="1"/>
  <c r="F87" i="1"/>
  <c r="G87" i="1"/>
  <c r="E90" i="1"/>
  <c r="F90" i="1"/>
  <c r="G90" i="1"/>
  <c r="E91" i="1"/>
  <c r="F91" i="1"/>
  <c r="G91" i="1"/>
  <c r="E94" i="1"/>
  <c r="F94" i="1"/>
  <c r="G94" i="1"/>
  <c r="E95" i="1"/>
  <c r="F95" i="1"/>
  <c r="G95" i="1"/>
  <c r="E96" i="1"/>
  <c r="F96" i="1"/>
  <c r="E98" i="1"/>
  <c r="F98" i="1"/>
  <c r="G98" i="1"/>
</calcChain>
</file>

<file path=xl/sharedStrings.xml><?xml version="1.0" encoding="utf-8"?>
<sst xmlns="http://schemas.openxmlformats.org/spreadsheetml/2006/main" count="125" uniqueCount="86">
  <si>
    <t>Robbery</t>
  </si>
  <si>
    <t>As % of vendor payments</t>
  </si>
  <si>
    <t>Per invoice</t>
  </si>
  <si>
    <t>ANNUAL COSTS TOTAL</t>
  </si>
  <si>
    <t>Cost of supplier profile updates</t>
  </si>
  <si>
    <t>Cost of supplier enquiries</t>
  </si>
  <si>
    <t>Supplier maintenance costs</t>
  </si>
  <si>
    <t>Clerical time on wrong packets</t>
  </si>
  <si>
    <t xml:space="preserve">Clerical time on cash recon </t>
  </si>
  <si>
    <t xml:space="preserve">Average interest lost on cash </t>
  </si>
  <si>
    <t>Cash</t>
  </si>
  <si>
    <t>Clerical time on rejected transfers</t>
  </si>
  <si>
    <t>Clerical time to reconcile ACH</t>
  </si>
  <si>
    <t>Bank transfer</t>
  </si>
  <si>
    <t>Average float on checks lost</t>
  </si>
  <si>
    <t>Bank fees on cancelled checks</t>
  </si>
  <si>
    <t>Staff time on cancelled checks</t>
  </si>
  <si>
    <t>Clerical time to reconcile checks</t>
  </si>
  <si>
    <t>Checks</t>
  </si>
  <si>
    <t>Post payment costs</t>
  </si>
  <si>
    <t>Cost of remittance advice separately</t>
  </si>
  <si>
    <t>Per transaction fee</t>
  </si>
  <si>
    <t>Fixed bank fee</t>
  </si>
  <si>
    <t>Transfers</t>
  </si>
  <si>
    <t>Clerical time--address queries</t>
  </si>
  <si>
    <t>Clerical time--prepare cash packets</t>
  </si>
  <si>
    <t>Clerical time-collect cash</t>
  </si>
  <si>
    <t>Printing remittance advice with check</t>
  </si>
  <si>
    <t xml:space="preserve">Bank fees for check processing </t>
  </si>
  <si>
    <t xml:space="preserve">Cost of check stock </t>
  </si>
  <si>
    <t>Check printing cost</t>
  </si>
  <si>
    <t>Management time to sign per check</t>
  </si>
  <si>
    <t>Check writing time cost</t>
  </si>
  <si>
    <t>Check</t>
  </si>
  <si>
    <t>Authorization time</t>
  </si>
  <si>
    <t>Payment costs</t>
  </si>
  <si>
    <t>Electronic invoice receipt and process</t>
  </si>
  <si>
    <t>Paper invoice scan and process</t>
  </si>
  <si>
    <t>Paper invoice receipt and process</t>
  </si>
  <si>
    <t>Invoice processing costs</t>
  </si>
  <si>
    <t>Payment pre-tests</t>
  </si>
  <si>
    <t>Confirmation of profile with supplier</t>
  </si>
  <si>
    <t>AP profiles setup</t>
  </si>
  <si>
    <t>supplier enrolments</t>
  </si>
  <si>
    <t>Supplier setup costs</t>
  </si>
  <si>
    <t>Savings</t>
  </si>
  <si>
    <t>Currency of calculation</t>
  </si>
  <si>
    <t>Target</t>
  </si>
  <si>
    <t>Now</t>
  </si>
  <si>
    <t>Cost per annum</t>
  </si>
  <si>
    <t>#</t>
  </si>
  <si>
    <t>Supplier updates per annum</t>
  </si>
  <si>
    <t>Supplier queries per annum</t>
  </si>
  <si>
    <t>$/LCU</t>
  </si>
  <si>
    <t>Total</t>
  </si>
  <si>
    <t>Direct deposit</t>
  </si>
  <si>
    <t>Check paid</t>
  </si>
  <si>
    <t>Total value of supplier payments per month.</t>
  </si>
  <si>
    <t>2A</t>
  </si>
  <si>
    <t>Sent separately</t>
  </si>
  <si>
    <t>Sent with check</t>
  </si>
  <si>
    <t>Sent only electronically</t>
  </si>
  <si>
    <t>Remittance advice:</t>
  </si>
  <si>
    <t>1C</t>
  </si>
  <si>
    <t>Total per annum</t>
  </si>
  <si>
    <t>Check--total</t>
  </si>
  <si>
    <t xml:space="preserve">Check-- printed </t>
  </si>
  <si>
    <t>Check--manual</t>
  </si>
  <si>
    <t>Per annum:</t>
  </si>
  <si>
    <t>1B</t>
  </si>
  <si>
    <t>received in paper, processed in paper</t>
  </si>
  <si>
    <t>received in paper but scanned</t>
  </si>
  <si>
    <t>received electronically in format</t>
  </si>
  <si>
    <t>Invoice processing</t>
  </si>
  <si>
    <t>Number bank transfer</t>
  </si>
  <si>
    <t>Number cash paid per month</t>
  </si>
  <si>
    <t>Total check paid per month</t>
  </si>
  <si>
    <t xml:space="preserve">Number check paid--printed </t>
  </si>
  <si>
    <t>Number check paid--manually prepared</t>
  </si>
  <si>
    <t>Of which:</t>
  </si>
  <si>
    <t>Payments made</t>
  </si>
  <si>
    <t>Invoices received</t>
  </si>
  <si>
    <t>Per month:</t>
  </si>
  <si>
    <t>Supplier setups p.a.</t>
  </si>
  <si>
    <t>1A</t>
  </si>
  <si>
    <t>SUPPLIER PAYROLL INVOICE CALCULATOR ASSUMPTION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</si>
</sst>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166" fontId="0" fillId="0" borderId="0" xfId="1" applyNumberFormat="1" applyFont="1"/>
    <xf numFmtId="0" fontId="0" fillId="0" borderId="0" xfId="0" applyFont="1"/>
    <xf numFmtId="165" fontId="0" fillId="0" borderId="0" xfId="0" applyNumberFormat="1"/>
    <xf numFmtId="10" fontId="0" fillId="0" borderId="0" xfId="2" applyNumberFormat="1" applyFont="1"/>
    <xf numFmtId="167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 vertic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 applyBorder="1"/>
    <xf numFmtId="165" fontId="0" fillId="0" borderId="0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2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.SUPPLIER-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.SUPPLIER-CALCULA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 SUPPLIER WORKINGS"/>
    </sheetNames>
    <sheetDataSet>
      <sheetData sheetId="0">
        <row r="7">
          <cell r="E7">
            <v>0.05</v>
          </cell>
        </row>
        <row r="17">
          <cell r="E17">
            <v>1.46E-2</v>
          </cell>
          <cell r="F17">
            <v>0.51919999999999999</v>
          </cell>
        </row>
        <row r="18">
          <cell r="E18">
            <v>1.46E-2</v>
          </cell>
          <cell r="F18">
            <v>0.51919999999999999</v>
          </cell>
        </row>
        <row r="19">
          <cell r="E19">
            <v>1.46E-2</v>
          </cell>
          <cell r="F19">
            <v>0.51919999999999999</v>
          </cell>
        </row>
        <row r="20">
          <cell r="E20">
            <v>1.46E-2</v>
          </cell>
          <cell r="F20">
            <v>0.51919999999999999</v>
          </cell>
        </row>
        <row r="22">
          <cell r="I22">
            <v>0.57683433317951083</v>
          </cell>
        </row>
        <row r="23">
          <cell r="I23">
            <v>0.28841716658975541</v>
          </cell>
        </row>
        <row r="24">
          <cell r="I24">
            <v>0.9613905552991846</v>
          </cell>
        </row>
        <row r="25">
          <cell r="I25">
            <v>0.9613905552991846</v>
          </cell>
        </row>
        <row r="29">
          <cell r="E29">
            <v>0.05</v>
          </cell>
          <cell r="F29">
            <v>0.25</v>
          </cell>
        </row>
        <row r="30">
          <cell r="E30">
            <v>0.15</v>
          </cell>
          <cell r="F30">
            <v>0.5</v>
          </cell>
        </row>
        <row r="31">
          <cell r="E31">
            <v>0.8</v>
          </cell>
          <cell r="F31">
            <v>0.25</v>
          </cell>
        </row>
        <row r="33">
          <cell r="I33">
            <v>0.57683433317951072</v>
          </cell>
        </row>
        <row r="34">
          <cell r="I34">
            <v>0.9613905552991846</v>
          </cell>
        </row>
        <row r="35">
          <cell r="I35">
            <v>4.8069527764959229E-2</v>
          </cell>
        </row>
        <row r="36">
          <cell r="I36">
            <v>0.05</v>
          </cell>
        </row>
        <row r="40">
          <cell r="I40">
            <v>0.9613905552991846</v>
          </cell>
        </row>
        <row r="43">
          <cell r="I43">
            <v>0.28841716658975536</v>
          </cell>
        </row>
        <row r="44">
          <cell r="I44">
            <v>0.4806952776495923</v>
          </cell>
        </row>
        <row r="46">
          <cell r="I46">
            <v>4.8069527764959229E-2</v>
          </cell>
        </row>
        <row r="48">
          <cell r="I48">
            <v>0.05</v>
          </cell>
        </row>
        <row r="49">
          <cell r="I49">
            <v>0.5</v>
          </cell>
        </row>
        <row r="52">
          <cell r="G52">
            <v>0.1</v>
          </cell>
        </row>
        <row r="55">
          <cell r="I55">
            <v>0.25</v>
          </cell>
        </row>
        <row r="56">
          <cell r="I56">
            <v>50</v>
          </cell>
        </row>
        <row r="58">
          <cell r="E58">
            <v>1.46E-2</v>
          </cell>
          <cell r="F58">
            <v>0.51919999999999999</v>
          </cell>
        </row>
        <row r="59">
          <cell r="E59">
            <v>8.6099999999999996E-2</v>
          </cell>
          <cell r="F59">
            <v>3.1099999999999999E-2</v>
          </cell>
        </row>
        <row r="60">
          <cell r="E60">
            <v>0.98540000000000005</v>
          </cell>
          <cell r="F60">
            <v>0.48080000000000001</v>
          </cell>
        </row>
        <row r="62">
          <cell r="I62">
            <v>0.2</v>
          </cell>
        </row>
        <row r="64">
          <cell r="I64">
            <v>2.4034763882479613</v>
          </cell>
        </row>
        <row r="67">
          <cell r="I67">
            <v>11.536686663590215</v>
          </cell>
        </row>
        <row r="68">
          <cell r="I68">
            <v>0.19227811105983691</v>
          </cell>
        </row>
        <row r="69">
          <cell r="E69">
            <v>0.05</v>
          </cell>
        </row>
        <row r="70">
          <cell r="I70">
            <v>1.4420858329487769</v>
          </cell>
        </row>
        <row r="72">
          <cell r="E72">
            <v>2</v>
          </cell>
          <cell r="F72">
            <v>2</v>
          </cell>
        </row>
        <row r="73">
          <cell r="E73">
            <v>56250</v>
          </cell>
          <cell r="F73">
            <v>28125</v>
          </cell>
        </row>
        <row r="76">
          <cell r="E76">
            <v>56250</v>
          </cell>
          <cell r="F76">
            <v>28125</v>
          </cell>
        </row>
        <row r="77">
          <cell r="E77">
            <v>360</v>
          </cell>
        </row>
        <row r="85">
          <cell r="I85">
            <v>0.19227811105983691</v>
          </cell>
        </row>
        <row r="86">
          <cell r="E86">
            <v>0.05</v>
          </cell>
        </row>
        <row r="87">
          <cell r="E87">
            <v>5</v>
          </cell>
        </row>
        <row r="88">
          <cell r="I88">
            <v>0.5</v>
          </cell>
        </row>
        <row r="91">
          <cell r="I91">
            <v>0.19227811105983691</v>
          </cell>
        </row>
        <row r="92">
          <cell r="E92">
            <v>0.02</v>
          </cell>
        </row>
        <row r="93">
          <cell r="I93">
            <v>0.4806952776495923</v>
          </cell>
        </row>
        <row r="96">
          <cell r="I96">
            <v>0.19227811105983691</v>
          </cell>
        </row>
        <row r="97">
          <cell r="E97">
            <v>0.05</v>
          </cell>
        </row>
        <row r="98">
          <cell r="I98">
            <v>0.9613905552991846</v>
          </cell>
        </row>
        <row r="101">
          <cell r="E101">
            <v>0.05</v>
          </cell>
          <cell r="F101">
            <v>2.5000000000000001E-2</v>
          </cell>
        </row>
        <row r="102">
          <cell r="I102">
            <v>0.4806952776495923</v>
          </cell>
        </row>
        <row r="104">
          <cell r="E104">
            <v>0.05</v>
          </cell>
          <cell r="F104">
            <v>2.5000000000000001E-2</v>
          </cell>
        </row>
        <row r="105">
          <cell r="I105">
            <v>0.4806952776495923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 SUPPLIER CALCULATOR"/>
    </sheetNames>
    <sheetDataSet>
      <sheetData sheetId="0">
        <row r="5">
          <cell r="F5" t="str">
            <v>Yes</v>
          </cell>
        </row>
        <row r="10">
          <cell r="E10">
            <v>60</v>
          </cell>
        </row>
        <row r="11">
          <cell r="E11">
            <v>216.83333333333334</v>
          </cell>
        </row>
        <row r="13">
          <cell r="E13">
            <v>1352183.33</v>
          </cell>
        </row>
        <row r="15">
          <cell r="E15">
            <v>8.6099999999999996E-2</v>
          </cell>
          <cell r="F15">
            <v>3.1099999999999999E-2</v>
          </cell>
          <cell r="H15">
            <v>0.64900000000000002</v>
          </cell>
          <cell r="I15">
            <v>1.61E-2</v>
          </cell>
        </row>
        <row r="16">
          <cell r="E16">
            <v>1.46E-2</v>
          </cell>
          <cell r="F16">
            <v>0.51919999999999999</v>
          </cell>
          <cell r="H16">
            <v>0.17080000000000001</v>
          </cell>
          <cell r="I16">
            <v>0.89370000000000005</v>
          </cell>
        </row>
        <row r="17">
          <cell r="E17">
            <v>0.89929999999999999</v>
          </cell>
          <cell r="F17">
            <v>0.44969999999999999</v>
          </cell>
          <cell r="H17">
            <v>0.18029999999999999</v>
          </cell>
          <cell r="I17">
            <v>9.01E-2</v>
          </cell>
        </row>
        <row r="30">
          <cell r="F3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tabSelected="1" workbookViewId="0">
      <selection activeCell="C3" sqref="C3"/>
    </sheetView>
  </sheetViews>
  <sheetFormatPr baseColWidth="10" defaultColWidth="8.83203125" defaultRowHeight="14" x14ac:dyDescent="0"/>
  <cols>
    <col min="1" max="1" width="5.83203125" customWidth="1"/>
    <col min="2" max="2" width="5.83203125" style="1" customWidth="1"/>
    <col min="3" max="3" width="35.83203125" customWidth="1"/>
    <col min="5" max="6" width="42" customWidth="1"/>
  </cols>
  <sheetData>
    <row r="1" spans="2:12">
      <c r="B1" s="12">
        <v>17</v>
      </c>
      <c r="C1" s="11" t="s">
        <v>85</v>
      </c>
    </row>
    <row r="2" spans="2:12">
      <c r="C2" s="11"/>
      <c r="J2" s="3"/>
      <c r="K2" s="3"/>
      <c r="L2" s="2"/>
    </row>
    <row r="3" spans="2:12">
      <c r="C3" s="11"/>
      <c r="J3" s="3"/>
      <c r="K3" s="3"/>
      <c r="L3" s="2"/>
    </row>
    <row r="4" spans="2:12">
      <c r="B4" s="1" t="s">
        <v>84</v>
      </c>
      <c r="C4" s="7" t="s">
        <v>83</v>
      </c>
      <c r="E4" s="1" t="s">
        <v>48</v>
      </c>
      <c r="F4" s="1" t="s">
        <v>47</v>
      </c>
      <c r="J4" s="3"/>
      <c r="K4" s="3"/>
      <c r="L4" s="2"/>
    </row>
    <row r="5" spans="2:12">
      <c r="B5"/>
      <c r="C5" s="7" t="s">
        <v>43</v>
      </c>
      <c r="D5" t="s">
        <v>50</v>
      </c>
      <c r="E5" s="15">
        <f>'[2]15. SUPPLIER CALCULATOR'!$E$10*'[1]16. SUPPLIER WORKINGS'!E17</f>
        <v>0.876</v>
      </c>
      <c r="F5" s="15">
        <f>'[2]15. SUPPLIER CALCULATOR'!$E$10*'[1]16. SUPPLIER WORKINGS'!F17</f>
        <v>31.152000000000001</v>
      </c>
      <c r="I5" s="25"/>
      <c r="J5" s="3"/>
      <c r="K5" s="3"/>
      <c r="L5" s="2"/>
    </row>
    <row r="6" spans="2:12">
      <c r="B6"/>
      <c r="C6" s="7" t="s">
        <v>42</v>
      </c>
      <c r="D6" t="s">
        <v>50</v>
      </c>
      <c r="E6" s="15">
        <f>'[2]15. SUPPLIER CALCULATOR'!$E$10*'[1]16. SUPPLIER WORKINGS'!E18</f>
        <v>0.876</v>
      </c>
      <c r="F6" s="15">
        <f>'[2]15. SUPPLIER CALCULATOR'!$E$10*'[1]16. SUPPLIER WORKINGS'!F18</f>
        <v>31.152000000000001</v>
      </c>
      <c r="I6" s="25"/>
      <c r="J6" s="3"/>
      <c r="K6" s="3"/>
      <c r="L6" s="2"/>
    </row>
    <row r="7" spans="2:12">
      <c r="B7"/>
      <c r="C7" s="7" t="s">
        <v>41</v>
      </c>
      <c r="D7" t="s">
        <v>50</v>
      </c>
      <c r="E7" s="15">
        <f>'[2]15. SUPPLIER CALCULATOR'!$E$10*'[1]16. SUPPLIER WORKINGS'!E19</f>
        <v>0.876</v>
      </c>
      <c r="F7" s="15">
        <f>'[2]15. SUPPLIER CALCULATOR'!$E$10*'[1]16. SUPPLIER WORKINGS'!F19</f>
        <v>31.152000000000001</v>
      </c>
      <c r="I7" s="25"/>
      <c r="J7" s="3"/>
      <c r="K7" s="3"/>
      <c r="L7" s="2"/>
    </row>
    <row r="8" spans="2:12">
      <c r="B8"/>
      <c r="C8" s="7" t="s">
        <v>40</v>
      </c>
      <c r="D8" t="s">
        <v>50</v>
      </c>
      <c r="E8" s="15">
        <f>'[2]15. SUPPLIER CALCULATOR'!$E$10*'[1]16. SUPPLIER WORKINGS'!E20</f>
        <v>0.876</v>
      </c>
      <c r="F8" s="15">
        <f>'[2]15. SUPPLIER CALCULATOR'!$E$10*'[1]16. SUPPLIER WORKINGS'!F20</f>
        <v>31.152000000000001</v>
      </c>
      <c r="I8" s="25"/>
      <c r="J8" s="3"/>
      <c r="K8" s="3"/>
      <c r="L8" s="2"/>
    </row>
    <row r="9" spans="2:12">
      <c r="C9" s="11"/>
      <c r="J9" s="3"/>
      <c r="K9" s="3"/>
      <c r="L9" s="2"/>
    </row>
    <row r="10" spans="2:12">
      <c r="B10" s="1" t="s">
        <v>69</v>
      </c>
      <c r="C10" t="s">
        <v>82</v>
      </c>
      <c r="J10" s="3"/>
      <c r="K10" s="3"/>
      <c r="L10" s="2"/>
    </row>
    <row r="11" spans="2:12">
      <c r="C11" s="7" t="s">
        <v>81</v>
      </c>
      <c r="D11" t="s">
        <v>50</v>
      </c>
      <c r="E11" s="15">
        <f>'[2]15. SUPPLIER CALCULATOR'!$E$11</f>
        <v>216.83333333333334</v>
      </c>
      <c r="F11" s="15">
        <f>'[2]15. SUPPLIER CALCULATOR'!$E$11</f>
        <v>216.83333333333334</v>
      </c>
      <c r="J11" s="3"/>
      <c r="K11" s="3"/>
      <c r="L11" s="2"/>
    </row>
    <row r="12" spans="2:12">
      <c r="C12" s="7" t="s">
        <v>80</v>
      </c>
      <c r="D12" t="s">
        <v>50</v>
      </c>
      <c r="E12" s="15">
        <f>'[2]15. SUPPLIER CALCULATOR'!$E$11</f>
        <v>216.83333333333334</v>
      </c>
      <c r="F12" s="15">
        <f>'[2]15. SUPPLIER CALCULATOR'!$E$11</f>
        <v>216.83333333333334</v>
      </c>
      <c r="J12" s="3"/>
      <c r="K12" s="3"/>
      <c r="L12" s="2"/>
    </row>
    <row r="13" spans="2:12">
      <c r="C13" s="7" t="s">
        <v>79</v>
      </c>
      <c r="E13" s="15"/>
      <c r="F13" s="15"/>
      <c r="J13" s="3"/>
      <c r="K13" s="3"/>
      <c r="L13" s="2"/>
    </row>
    <row r="14" spans="2:12">
      <c r="C14" t="s">
        <v>78</v>
      </c>
      <c r="D14" t="s">
        <v>50</v>
      </c>
      <c r="E14" s="15">
        <f>IF('[2]15. SUPPLIER CALCULATOR'!$F$30="Yes",'[2]15. SUPPLIER CALCULATOR'!$E$15*E12,0)</f>
        <v>0</v>
      </c>
      <c r="F14" s="15">
        <f>IF('[2]15. SUPPLIER CALCULATOR'!F30="Yes",'[2]15. SUPPLIER CALCULATOR'!H15*F12,0)</f>
        <v>0</v>
      </c>
      <c r="J14" s="3"/>
      <c r="K14" s="3"/>
      <c r="L14" s="2"/>
    </row>
    <row r="15" spans="2:12">
      <c r="C15" t="s">
        <v>77</v>
      </c>
      <c r="D15" t="s">
        <v>50</v>
      </c>
      <c r="E15" s="24">
        <f>IF('[2]15. SUPPLIER CALCULATOR'!F30="No",'[2]15. SUPPLIER CALCULATOR'!E15*E12,0)</f>
        <v>18.669350000000001</v>
      </c>
      <c r="F15" s="24">
        <f>IF('[2]15. SUPPLIER CALCULATOR'!F30="No",'[2]15. SUPPLIER CALCULATOR'!F15*F12,0)</f>
        <v>6.7435166666666664</v>
      </c>
      <c r="J15" s="3"/>
      <c r="K15" s="3"/>
      <c r="L15" s="2"/>
    </row>
    <row r="16" spans="2:12">
      <c r="C16" t="s">
        <v>76</v>
      </c>
      <c r="D16" t="s">
        <v>50</v>
      </c>
      <c r="E16" s="15">
        <f>E15+E14</f>
        <v>18.669350000000001</v>
      </c>
      <c r="F16" s="15">
        <f>F15+F14</f>
        <v>6.7435166666666664</v>
      </c>
      <c r="H16" s="4"/>
      <c r="J16" s="3"/>
      <c r="K16" s="3"/>
      <c r="L16" s="2"/>
    </row>
    <row r="17" spans="2:12">
      <c r="C17" t="s">
        <v>75</v>
      </c>
      <c r="D17" t="s">
        <v>50</v>
      </c>
      <c r="E17" s="15">
        <f>E12*'[2]15. SUPPLIER CALCULATOR'!E17</f>
        <v>194.99821666666668</v>
      </c>
      <c r="F17" s="15">
        <f>F12*'[2]15. SUPPLIER CALCULATOR'!F17</f>
        <v>97.509950000000003</v>
      </c>
      <c r="J17" s="3"/>
      <c r="K17" s="3"/>
      <c r="L17" s="2"/>
    </row>
    <row r="18" spans="2:12">
      <c r="C18" t="s">
        <v>74</v>
      </c>
      <c r="D18" t="s">
        <v>50</v>
      </c>
      <c r="E18" s="15">
        <f>E12*'[2]15. SUPPLIER CALCULATOR'!E16</f>
        <v>3.1657666666666668</v>
      </c>
      <c r="F18" s="15">
        <f>F12*'[2]15. SUPPLIER CALCULATOR'!F16</f>
        <v>112.57986666666667</v>
      </c>
      <c r="J18" s="3"/>
      <c r="K18" s="3"/>
      <c r="L18" s="2"/>
    </row>
    <row r="19" spans="2:12">
      <c r="B19" s="1" t="s">
        <v>63</v>
      </c>
      <c r="C19" t="s">
        <v>73</v>
      </c>
      <c r="E19" s="4"/>
      <c r="F19" s="4"/>
      <c r="J19" s="3"/>
      <c r="K19" s="3"/>
      <c r="L19" s="2"/>
    </row>
    <row r="20" spans="2:12">
      <c r="C20" t="s">
        <v>72</v>
      </c>
      <c r="D20" t="s">
        <v>50</v>
      </c>
      <c r="E20" s="16">
        <f>$E$11*'[1]16. SUPPLIER WORKINGS'!E29</f>
        <v>10.841666666666669</v>
      </c>
      <c r="F20" s="16">
        <f>$F$11*'[1]16. SUPPLIER WORKINGS'!F29</f>
        <v>54.208333333333336</v>
      </c>
      <c r="J20" s="3"/>
      <c r="K20" s="3"/>
      <c r="L20" s="2"/>
    </row>
    <row r="21" spans="2:12">
      <c r="C21" t="s">
        <v>71</v>
      </c>
      <c r="D21" t="s">
        <v>50</v>
      </c>
      <c r="E21" s="16">
        <f>$E$11*'[1]16. SUPPLIER WORKINGS'!E30</f>
        <v>32.524999999999999</v>
      </c>
      <c r="F21" s="16">
        <f>$F$11*'[1]16. SUPPLIER WORKINGS'!F30</f>
        <v>108.41666666666667</v>
      </c>
      <c r="J21" s="3"/>
      <c r="K21" s="3"/>
      <c r="L21" s="2"/>
    </row>
    <row r="22" spans="2:12">
      <c r="C22" t="s">
        <v>70</v>
      </c>
      <c r="D22" t="s">
        <v>50</v>
      </c>
      <c r="E22" s="16">
        <f>$E$11*'[1]16. SUPPLIER WORKINGS'!E31</f>
        <v>173.4666666666667</v>
      </c>
      <c r="F22" s="16">
        <f>$F$11*'[1]16. SUPPLIER WORKINGS'!F31</f>
        <v>54.208333333333336</v>
      </c>
      <c r="J22" s="3"/>
      <c r="K22" s="3"/>
      <c r="L22" s="2"/>
    </row>
    <row r="23" spans="2:12">
      <c r="B23" s="1" t="s">
        <v>69</v>
      </c>
      <c r="C23" t="s">
        <v>68</v>
      </c>
      <c r="E23" s="15"/>
      <c r="F23" s="15"/>
      <c r="J23" s="3"/>
      <c r="K23" s="3"/>
      <c r="L23" s="2"/>
    </row>
    <row r="24" spans="2:12">
      <c r="C24" t="s">
        <v>67</v>
      </c>
      <c r="D24" t="s">
        <v>50</v>
      </c>
      <c r="E24" s="15">
        <f>E14*12</f>
        <v>0</v>
      </c>
      <c r="F24" s="15">
        <f>F14*12</f>
        <v>0</v>
      </c>
      <c r="J24" s="3"/>
      <c r="K24" s="3"/>
      <c r="L24" s="2"/>
    </row>
    <row r="25" spans="2:12">
      <c r="C25" t="s">
        <v>66</v>
      </c>
      <c r="D25" t="s">
        <v>50</v>
      </c>
      <c r="E25" s="24">
        <f>E15*12</f>
        <v>224.03220000000002</v>
      </c>
      <c r="F25" s="24">
        <f>F15*12</f>
        <v>80.922200000000004</v>
      </c>
      <c r="J25" s="3"/>
      <c r="K25" s="3"/>
      <c r="L25" s="2"/>
    </row>
    <row r="26" spans="2:12">
      <c r="C26" t="s">
        <v>65</v>
      </c>
      <c r="D26" t="s">
        <v>50</v>
      </c>
      <c r="E26" s="15">
        <f>E24+E25</f>
        <v>224.03220000000002</v>
      </c>
      <c r="F26" s="15">
        <f>F24+F25</f>
        <v>80.922200000000004</v>
      </c>
      <c r="J26" s="3"/>
      <c r="K26" s="3"/>
      <c r="L26" s="2"/>
    </row>
    <row r="27" spans="2:12">
      <c r="C27" t="s">
        <v>10</v>
      </c>
      <c r="E27" s="15">
        <f>E17*12</f>
        <v>2339.9786000000004</v>
      </c>
      <c r="F27" s="15">
        <f>F17*12</f>
        <v>1170.1194</v>
      </c>
      <c r="J27" s="3"/>
      <c r="K27" s="3"/>
      <c r="L27" s="2"/>
    </row>
    <row r="28" spans="2:12">
      <c r="C28" t="s">
        <v>55</v>
      </c>
      <c r="D28" t="s">
        <v>50</v>
      </c>
      <c r="E28" s="15">
        <f>E18*12</f>
        <v>37.989200000000004</v>
      </c>
      <c r="F28" s="15">
        <f>F18*12</f>
        <v>1350.9584</v>
      </c>
    </row>
    <row r="29" spans="2:12">
      <c r="C29" t="s">
        <v>64</v>
      </c>
      <c r="D29" t="s">
        <v>50</v>
      </c>
      <c r="E29" s="23">
        <f>SUM(E26:E28)</f>
        <v>2602.0000000000005</v>
      </c>
      <c r="F29" s="23">
        <f>SUM(F26:F28)</f>
        <v>2602</v>
      </c>
    </row>
    <row r="30" spans="2:12">
      <c r="B30" s="1" t="s">
        <v>63</v>
      </c>
      <c r="C30" t="s">
        <v>62</v>
      </c>
      <c r="E30" s="21"/>
      <c r="F30" s="21"/>
    </row>
    <row r="31" spans="2:12">
      <c r="C31" t="s">
        <v>61</v>
      </c>
      <c r="D31" t="s">
        <v>50</v>
      </c>
      <c r="E31" s="22">
        <f>$E$29*'[1]16. SUPPLIER WORKINGS'!E58</f>
        <v>37.989200000000004</v>
      </c>
      <c r="F31" s="22">
        <f>$F$29*'[1]16. SUPPLIER WORKINGS'!F58</f>
        <v>1350.9584</v>
      </c>
    </row>
    <row r="32" spans="2:12">
      <c r="C32" t="s">
        <v>60</v>
      </c>
      <c r="D32" t="s">
        <v>50</v>
      </c>
      <c r="E32" s="22">
        <f>$E$29*'[1]16. SUPPLIER WORKINGS'!E59</f>
        <v>224.03220000000002</v>
      </c>
      <c r="F32" s="22">
        <f>$F$29*'[1]16. SUPPLIER WORKINGS'!F59</f>
        <v>80.922200000000004</v>
      </c>
    </row>
    <row r="33" spans="2:8">
      <c r="C33" t="s">
        <v>59</v>
      </c>
      <c r="D33" t="s">
        <v>50</v>
      </c>
      <c r="E33" s="22">
        <f>$E$29*'[1]16. SUPPLIER WORKINGS'!E60</f>
        <v>2564.0108000000005</v>
      </c>
      <c r="F33" s="22">
        <f>$F$29*'[1]16. SUPPLIER WORKINGS'!F60</f>
        <v>1251.0416</v>
      </c>
    </row>
    <row r="34" spans="2:8">
      <c r="B34" s="1" t="s">
        <v>58</v>
      </c>
      <c r="C34" t="s">
        <v>57</v>
      </c>
      <c r="E34" s="15"/>
      <c r="F34" s="15"/>
    </row>
    <row r="35" spans="2:8">
      <c r="C35" t="s">
        <v>56</v>
      </c>
      <c r="D35" t="s">
        <v>53</v>
      </c>
      <c r="E35" s="15">
        <f>'[2]15. SUPPLIER CALCULATOR'!$E$13*'[2]15. SUPPLIER CALCULATOR'!H15</f>
        <v>877566.98117000004</v>
      </c>
      <c r="F35" s="15">
        <f>'[2]15. SUPPLIER CALCULATOR'!$E$13*'[2]15. SUPPLIER CALCULATOR'!I15</f>
        <v>21770.151613000002</v>
      </c>
    </row>
    <row r="36" spans="2:8">
      <c r="C36" t="s">
        <v>10</v>
      </c>
      <c r="D36" t="s">
        <v>53</v>
      </c>
      <c r="E36" s="15">
        <f>'[2]15. SUPPLIER CALCULATOR'!$E$13*'[2]15. SUPPLIER CALCULATOR'!H17</f>
        <v>243798.65439899999</v>
      </c>
      <c r="F36" s="15">
        <f>'[2]15. SUPPLIER CALCULATOR'!E13*'[2]15. SUPPLIER CALCULATOR'!I17</f>
        <v>121831.71803300001</v>
      </c>
    </row>
    <row r="37" spans="2:8">
      <c r="C37" t="s">
        <v>55</v>
      </c>
      <c r="D37" t="s">
        <v>53</v>
      </c>
      <c r="E37" s="15">
        <f>'[2]15. SUPPLIER CALCULATOR'!E13*'[2]15. SUPPLIER CALCULATOR'!H16</f>
        <v>230952.91276400004</v>
      </c>
      <c r="F37" s="15">
        <f>'[2]15. SUPPLIER CALCULATOR'!E13*'[2]15. SUPPLIER CALCULATOR'!I16</f>
        <v>1208446.2420210002</v>
      </c>
    </row>
    <row r="38" spans="2:8">
      <c r="C38" t="s">
        <v>54</v>
      </c>
      <c r="D38" t="s">
        <v>53</v>
      </c>
      <c r="E38" s="23">
        <f>SUM(E35:E37)</f>
        <v>1352318.5483330002</v>
      </c>
      <c r="F38" s="23">
        <f>SUM(F35:F37)</f>
        <v>1352048.1116670002</v>
      </c>
    </row>
    <row r="39" spans="2:8">
      <c r="B39" s="1">
        <v>3</v>
      </c>
      <c r="C39" t="s">
        <v>52</v>
      </c>
      <c r="D39" t="s">
        <v>50</v>
      </c>
      <c r="E39" s="22">
        <f>$E$29*'[1]16. SUPPLIER WORKINGS'!E101</f>
        <v>130.10000000000002</v>
      </c>
      <c r="F39" s="22">
        <f>$F$29*'[1]16. SUPPLIER WORKINGS'!F101</f>
        <v>65.05</v>
      </c>
    </row>
    <row r="40" spans="2:8">
      <c r="C40" t="s">
        <v>51</v>
      </c>
      <c r="D40" t="s">
        <v>50</v>
      </c>
      <c r="E40" s="22">
        <f>$E$29*'[1]16. SUPPLIER WORKINGS'!E104</f>
        <v>130.10000000000002</v>
      </c>
      <c r="F40" s="22">
        <f>$E$29*'[1]16. SUPPLIER WORKINGS'!F104</f>
        <v>65.050000000000011</v>
      </c>
    </row>
    <row r="41" spans="2:8">
      <c r="E41" s="21"/>
      <c r="F41" s="21"/>
    </row>
    <row r="42" spans="2:8">
      <c r="E42" s="21"/>
      <c r="F42" s="21"/>
    </row>
    <row r="43" spans="2:8">
      <c r="C43" s="11" t="s">
        <v>49</v>
      </c>
      <c r="E43" s="20" t="s">
        <v>48</v>
      </c>
      <c r="F43" s="20" t="s">
        <v>47</v>
      </c>
    </row>
    <row r="44" spans="2:8">
      <c r="C44" s="7" t="s">
        <v>46</v>
      </c>
      <c r="E44" s="19" t="str">
        <f>IF('[2]15. SUPPLIER CALCULATOR'!$F$5="Yes","USD",'[2]15. SUPPLIER CALCULATOR'!$F$6)</f>
        <v>USD</v>
      </c>
      <c r="F44" s="19" t="str">
        <f>IF('[2]15. SUPPLIER CALCULATOR'!$F$5="Yes","USD",'[2]15. SUPPLIER CALCULATOR'!$F$6)</f>
        <v>USD</v>
      </c>
      <c r="G44" t="s">
        <v>45</v>
      </c>
      <c r="H44" t="s">
        <v>45</v>
      </c>
    </row>
    <row r="45" spans="2:8">
      <c r="C45" s="11"/>
    </row>
    <row r="46" spans="2:8">
      <c r="C46" s="11" t="s">
        <v>44</v>
      </c>
      <c r="E46" s="18"/>
      <c r="G46" s="4"/>
      <c r="H46" s="4">
        <f>SUM(G47:G50)</f>
        <v>-84.410475311490529</v>
      </c>
    </row>
    <row r="47" spans="2:8">
      <c r="C47" s="7" t="s">
        <v>43</v>
      </c>
      <c r="E47" s="15">
        <f>E5*'[1]16. SUPPLIER WORKINGS'!I22</f>
        <v>0.50530687586525147</v>
      </c>
      <c r="F47" s="15">
        <f>F5*'[1]16. SUPPLIER WORKINGS'!I22</f>
        <v>17.969543147208121</v>
      </c>
      <c r="G47" s="4">
        <f>E47-F47</f>
        <v>-17.46423627134287</v>
      </c>
    </row>
    <row r="48" spans="2:8">
      <c r="C48" s="7" t="s">
        <v>42</v>
      </c>
      <c r="E48" s="15">
        <f>E6*'[1]16. SUPPLIER WORKINGS'!I23</f>
        <v>0.25265343793262574</v>
      </c>
      <c r="F48" s="15">
        <f>F6*'[1]16. SUPPLIER WORKINGS'!I23</f>
        <v>8.9847715736040605</v>
      </c>
      <c r="G48" s="4">
        <f>E48-F48</f>
        <v>-8.7321181356714348</v>
      </c>
    </row>
    <row r="49" spans="3:12">
      <c r="C49" s="7" t="s">
        <v>41</v>
      </c>
      <c r="E49" s="15">
        <f>E7*'[1]16. SUPPLIER WORKINGS'!I24</f>
        <v>0.84217812644208567</v>
      </c>
      <c r="F49" s="15">
        <f>F7*'[1]16. SUPPLIER WORKINGS'!I24</f>
        <v>29.949238578680198</v>
      </c>
      <c r="G49" s="4">
        <f>E49-F49</f>
        <v>-29.107060452238112</v>
      </c>
    </row>
    <row r="50" spans="3:12">
      <c r="C50" s="7" t="s">
        <v>40</v>
      </c>
      <c r="E50" s="15">
        <f>E8*'[1]16. SUPPLIER WORKINGS'!I25</f>
        <v>0.84217812644208567</v>
      </c>
      <c r="F50" s="15">
        <f>F8*'[1]16. SUPPLIER WORKINGS'!I25</f>
        <v>29.949238578680198</v>
      </c>
      <c r="G50" s="4">
        <f>E50-F50</f>
        <v>-29.107060452238112</v>
      </c>
    </row>
    <row r="51" spans="3:12">
      <c r="C51" s="11" t="s">
        <v>39</v>
      </c>
      <c r="E51" s="8"/>
      <c r="F51" s="8"/>
      <c r="G51" s="4"/>
      <c r="H51" s="4">
        <f>SUM(G52:G53)</f>
        <v>-95.565764497769578</v>
      </c>
    </row>
    <row r="52" spans="3:12">
      <c r="C52" s="7" t="s">
        <v>38</v>
      </c>
      <c r="E52" s="4">
        <f>E22*'[1]16. SUPPLIER WORKINGS'!I33*12</f>
        <v>1200.7383479464697</v>
      </c>
      <c r="F52" s="4">
        <f>F22*'[1]16. SUPPLIER WORKINGS'!I33*12</f>
        <v>375.23073373327173</v>
      </c>
      <c r="G52" s="4">
        <f>E52-F52</f>
        <v>825.50761421319794</v>
      </c>
    </row>
    <row r="53" spans="3:12">
      <c r="C53" s="7" t="s">
        <v>37</v>
      </c>
      <c r="E53" s="18">
        <f>E21*('[1]16. SUPPLIER WORKINGS'!I36+'[1]16. SUPPLIER WORKINGS'!I34)*12</f>
        <v>394.74573373327172</v>
      </c>
      <c r="F53" s="18">
        <f>F21*('[1]16. SUPPLIER WORKINGS'!I36+'[1]16. SUPPLIER WORKINGS'!I34)*12</f>
        <v>1315.8191124442392</v>
      </c>
      <c r="G53" s="4">
        <f>E53-F53</f>
        <v>-921.07337871096752</v>
      </c>
      <c r="J53" s="3"/>
      <c r="K53" s="3"/>
      <c r="L53" s="2"/>
    </row>
    <row r="54" spans="3:12">
      <c r="C54" s="7" t="s">
        <v>36</v>
      </c>
      <c r="E54" s="4">
        <f>E20*'[1]16. SUPPLIER WORKINGS'!I35*12</f>
        <v>6.2538455622211977</v>
      </c>
      <c r="F54" s="4">
        <f>F20*'[1]16. SUPPLIER WORKINGS'!I35*12</f>
        <v>31.269227811105978</v>
      </c>
      <c r="G54" s="4">
        <f>E54-F54</f>
        <v>-25.01538224888478</v>
      </c>
      <c r="J54" s="17"/>
      <c r="K54" s="3"/>
      <c r="L54" s="2"/>
    </row>
    <row r="55" spans="3:12">
      <c r="E55" s="4"/>
      <c r="F55" s="4"/>
      <c r="G55" s="4"/>
      <c r="J55" s="3"/>
      <c r="K55" s="3"/>
      <c r="L55" s="2"/>
    </row>
    <row r="56" spans="3:12">
      <c r="C56" s="11" t="s">
        <v>35</v>
      </c>
      <c r="E56" s="8"/>
      <c r="G56" s="4"/>
      <c r="H56" s="4">
        <f>SUM(G57:G74)</f>
        <v>-3422.6836559052463</v>
      </c>
      <c r="J56" s="3"/>
      <c r="K56" s="3"/>
      <c r="L56" s="2"/>
    </row>
    <row r="57" spans="3:12">
      <c r="C57" s="7" t="s">
        <v>34</v>
      </c>
      <c r="E57" s="4">
        <f>E29*'[1]16. SUPPLIER WORKINGS'!I40</f>
        <v>2501.5382248884789</v>
      </c>
      <c r="F57" s="4">
        <f>F29*'[1]16. SUPPLIER WORKINGS'!I40</f>
        <v>2501.5382248884785</v>
      </c>
      <c r="G57" s="4">
        <f>E57-F57</f>
        <v>0</v>
      </c>
      <c r="J57" s="3"/>
      <c r="K57" s="3"/>
      <c r="L57" s="2"/>
    </row>
    <row r="58" spans="3:12">
      <c r="C58" s="14" t="s">
        <v>33</v>
      </c>
      <c r="J58" s="3"/>
      <c r="K58" s="3"/>
      <c r="L58" s="2"/>
    </row>
    <row r="59" spans="3:12">
      <c r="C59" t="s">
        <v>32</v>
      </c>
      <c r="E59" s="4">
        <f>E24*'[1]16. SUPPLIER WORKINGS'!I43</f>
        <v>0</v>
      </c>
      <c r="F59" s="4">
        <f>F25*'[1]16. SUPPLIER WORKINGS'!I43</f>
        <v>23.339351638209504</v>
      </c>
      <c r="G59" s="4">
        <f>F59-E59</f>
        <v>23.339351638209504</v>
      </c>
      <c r="J59" s="3"/>
      <c r="K59" s="3"/>
      <c r="L59" s="2"/>
    </row>
    <row r="60" spans="3:12">
      <c r="C60" s="7" t="s">
        <v>31</v>
      </c>
      <c r="E60" s="4">
        <f>E24*'[1]16. SUPPLIER WORKINGS'!I44</f>
        <v>0</v>
      </c>
      <c r="F60" s="15">
        <f>F26*'[1]16. SUPPLIER WORKINGS'!I44</f>
        <v>38.898919397015838</v>
      </c>
      <c r="G60" s="4">
        <f>F60-E60</f>
        <v>38.898919397015838</v>
      </c>
      <c r="J60" s="3"/>
      <c r="K60" s="3"/>
      <c r="L60" s="2"/>
    </row>
    <row r="61" spans="3:12">
      <c r="C61" s="7" t="s">
        <v>30</v>
      </c>
      <c r="E61" s="4">
        <f>E25*'[1]16. SUPPLIER WORKINGS'!I46</f>
        <v>10.7691220581449</v>
      </c>
      <c r="F61" s="4">
        <f>F25*'[1]16. SUPPLIER WORKINGS'!I46</f>
        <v>3.8898919397015841</v>
      </c>
      <c r="G61" s="4">
        <f>F61-E61</f>
        <v>-6.8792301184433153</v>
      </c>
      <c r="J61" s="3"/>
      <c r="K61" s="3"/>
      <c r="L61" s="2"/>
    </row>
    <row r="62" spans="3:12">
      <c r="C62" s="7" t="s">
        <v>29</v>
      </c>
      <c r="E62" s="4">
        <f>E26*'[1]16. SUPPLIER WORKINGS'!I48</f>
        <v>11.201610000000002</v>
      </c>
      <c r="F62" s="15">
        <f>F26*'[1]16. SUPPLIER WORKINGS'!I48</f>
        <v>4.0461100000000005</v>
      </c>
      <c r="G62" s="4">
        <f>F62-E62</f>
        <v>-7.1555000000000017</v>
      </c>
      <c r="J62" s="3"/>
      <c r="K62" s="3"/>
      <c r="L62" s="2"/>
    </row>
    <row r="63" spans="3:12">
      <c r="C63" t="s">
        <v>28</v>
      </c>
      <c r="E63" s="4">
        <f>E26*'[1]16. SUPPLIER WORKINGS'!I49</f>
        <v>112.01610000000001</v>
      </c>
      <c r="F63" s="15">
        <f>F26*'[1]16. SUPPLIER WORKINGS'!I49</f>
        <v>40.461100000000002</v>
      </c>
      <c r="G63" s="4">
        <f>F63-E63</f>
        <v>-71.555000000000007</v>
      </c>
      <c r="J63" s="3"/>
      <c r="K63" s="3"/>
      <c r="L63" s="2"/>
    </row>
    <row r="64" spans="3:12">
      <c r="C64" t="s">
        <v>27</v>
      </c>
      <c r="E64" s="4"/>
      <c r="F64" s="15"/>
      <c r="G64" s="4"/>
      <c r="J64" s="3"/>
      <c r="K64" s="3"/>
      <c r="L64" s="2"/>
    </row>
    <row r="65" spans="3:12">
      <c r="C65" s="14" t="s">
        <v>10</v>
      </c>
      <c r="E65" s="4"/>
      <c r="F65" s="15"/>
      <c r="G65" s="4"/>
      <c r="J65" s="3"/>
      <c r="K65" s="3"/>
      <c r="L65" s="2"/>
    </row>
    <row r="66" spans="3:12">
      <c r="C66" t="s">
        <v>26</v>
      </c>
      <c r="E66" s="4">
        <f>52*'[1]16. SUPPLIER WORKINGS'!I67</f>
        <v>599.90770650669117</v>
      </c>
      <c r="F66" s="4">
        <f>52*'[1]16. SUPPLIER WORKINGS'!I67</f>
        <v>599.90770650669117</v>
      </c>
      <c r="G66" s="4">
        <f>F66-E66</f>
        <v>0</v>
      </c>
      <c r="J66" s="3"/>
      <c r="K66" s="3"/>
      <c r="L66" s="2"/>
    </row>
    <row r="67" spans="3:12">
      <c r="C67" t="s">
        <v>25</v>
      </c>
      <c r="E67" s="4">
        <f>E27*'[1]16. SUPPLIER WORKINGS'!I68</f>
        <v>449.92666512844175</v>
      </c>
      <c r="F67" s="4">
        <f>F27*'[1]16. SUPPLIER WORKINGS'!I68</f>
        <v>224.98834794646973</v>
      </c>
      <c r="G67" s="4">
        <f>F67-E67</f>
        <v>-224.93831718197202</v>
      </c>
      <c r="J67" s="3"/>
      <c r="K67" s="3"/>
      <c r="L67" s="2"/>
    </row>
    <row r="68" spans="3:12">
      <c r="C68" t="s">
        <v>24</v>
      </c>
      <c r="E68" s="4">
        <f>E27*'[1]16. SUPPLIER WORKINGS'!$E$69*'[1]16. SUPPLIER WORKINGS'!$I$70</f>
        <v>168.72249942316569</v>
      </c>
      <c r="F68" s="4">
        <f>F27*'[1]16. SUPPLIER WORKINGS'!$E$69*'[1]16. SUPPLIER WORKINGS'!$I$70</f>
        <v>84.370630479926163</v>
      </c>
      <c r="G68" s="4">
        <f>F68-E68</f>
        <v>-84.351868943239523</v>
      </c>
      <c r="J68" s="3"/>
      <c r="K68" s="3"/>
      <c r="L68" s="2"/>
    </row>
    <row r="69" spans="3:12">
      <c r="G69" s="4"/>
      <c r="J69" s="3"/>
      <c r="K69" s="3"/>
      <c r="L69" s="2"/>
    </row>
    <row r="70" spans="3:12">
      <c r="C70" s="14" t="s">
        <v>23</v>
      </c>
      <c r="E70" s="4"/>
      <c r="F70" s="15"/>
      <c r="G70" s="4"/>
      <c r="J70" s="3"/>
      <c r="K70" s="3"/>
      <c r="L70" s="2"/>
    </row>
    <row r="71" spans="3:12">
      <c r="C71" t="s">
        <v>22</v>
      </c>
      <c r="E71" s="4">
        <f>IF(E37&gt;0,'[1]16. SUPPLIER WORKINGS'!$I$56*12,0)</f>
        <v>600</v>
      </c>
      <c r="F71" s="4">
        <f>IF(F37&gt;0,'[1]16. SUPPLIER WORKINGS'!$I$56*12,0)</f>
        <v>600</v>
      </c>
      <c r="G71" s="4">
        <f>F71-E71</f>
        <v>0</v>
      </c>
      <c r="J71" s="3"/>
      <c r="K71" s="3"/>
      <c r="L71" s="2"/>
    </row>
    <row r="72" spans="3:12">
      <c r="C72" t="s">
        <v>21</v>
      </c>
      <c r="E72" s="4">
        <f>E28*'[1]16. SUPPLIER WORKINGS'!$I$55</f>
        <v>9.497300000000001</v>
      </c>
      <c r="F72" s="4">
        <f>F28*'[1]16. SUPPLIER WORKINGS'!$I$55</f>
        <v>337.7396</v>
      </c>
      <c r="G72" s="4">
        <f>F72-E72</f>
        <v>328.2423</v>
      </c>
      <c r="J72" s="3"/>
      <c r="K72" s="3"/>
      <c r="L72" s="2"/>
    </row>
    <row r="73" spans="3:12">
      <c r="C73" t="s">
        <v>20</v>
      </c>
      <c r="E73" s="4">
        <f>E33*('[1]16. SUPPLIER WORKINGS'!$I$62+'[1]16. SUPPLIER WORKINGS'!$I$64)</f>
        <v>6675.3415770127676</v>
      </c>
      <c r="F73" s="4">
        <f>F33*('[1]16. SUPPLIER WORKINGS'!$I$62+'[1]16. SUPPLIER WORKINGS'!$I$64)</f>
        <v>3257.057266315951</v>
      </c>
      <c r="G73" s="4">
        <f>F73-E73</f>
        <v>-3418.2843106968166</v>
      </c>
      <c r="J73" s="3"/>
      <c r="K73" s="3"/>
      <c r="L73" s="2"/>
    </row>
    <row r="74" spans="3:12">
      <c r="E74" s="8"/>
      <c r="F74" s="4"/>
      <c r="G74" s="4"/>
      <c r="J74" s="3"/>
      <c r="K74" s="3"/>
      <c r="L74" s="2"/>
    </row>
    <row r="75" spans="3:12">
      <c r="C75" s="11" t="s">
        <v>19</v>
      </c>
      <c r="E75" s="4"/>
      <c r="F75" s="15"/>
      <c r="G75" s="4"/>
      <c r="J75" s="3"/>
      <c r="K75" s="3"/>
      <c r="L75" s="2"/>
    </row>
    <row r="76" spans="3:12">
      <c r="C76" s="14" t="s">
        <v>18</v>
      </c>
      <c r="E76" s="4"/>
      <c r="F76" s="15"/>
      <c r="G76" s="4"/>
      <c r="J76" s="3"/>
      <c r="K76" s="3"/>
      <c r="L76" s="2"/>
    </row>
    <row r="77" spans="3:12">
      <c r="C77" s="7" t="s">
        <v>17</v>
      </c>
      <c r="E77" s="4">
        <f>E26*'[1]16. SUPPLIER WORKINGS'!$I$85</f>
        <v>43.076488232579599</v>
      </c>
      <c r="F77" s="4">
        <f>F26*'[1]16. SUPPLIER WORKINGS'!$I$85</f>
        <v>15.559567758806336</v>
      </c>
      <c r="G77" s="4">
        <f>F77-E77</f>
        <v>-27.516920473773261</v>
      </c>
      <c r="J77" s="3"/>
      <c r="K77" s="3"/>
      <c r="L77" s="2"/>
    </row>
    <row r="78" spans="3:12">
      <c r="C78" s="7" t="s">
        <v>16</v>
      </c>
      <c r="E78" s="16">
        <f>E26*'[1]16. SUPPLIER WORKINGS'!$E$86*'[1]16. SUPPLIER WORKINGS'!$E$87</f>
        <v>56.008050000000011</v>
      </c>
      <c r="F78" s="16">
        <f>F26*'[1]16. SUPPLIER WORKINGS'!$E$86*'[1]16. SUPPLIER WORKINGS'!$E$87</f>
        <v>20.230550000000001</v>
      </c>
      <c r="G78" s="4">
        <f>F78-E78</f>
        <v>-35.777500000000011</v>
      </c>
      <c r="J78" s="3"/>
      <c r="K78" s="3"/>
      <c r="L78" s="2"/>
    </row>
    <row r="79" spans="3:12">
      <c r="C79" s="7" t="s">
        <v>15</v>
      </c>
      <c r="E79" s="15">
        <f>E26*'[1]16. SUPPLIER WORKINGS'!$E$86*'[1]16. SUPPLIER WORKINGS'!$I$88</f>
        <v>5.6008050000000011</v>
      </c>
      <c r="F79" s="15">
        <f>F26*'[1]16. SUPPLIER WORKINGS'!$E$86*'[1]16. SUPPLIER WORKINGS'!$I$88</f>
        <v>2.0230550000000003</v>
      </c>
      <c r="G79" s="4">
        <f>F79-E79</f>
        <v>-3.5777500000000009</v>
      </c>
      <c r="J79" s="3"/>
      <c r="K79" s="3"/>
      <c r="L79" s="2"/>
    </row>
    <row r="80" spans="3:12">
      <c r="C80" s="7" t="s">
        <v>14</v>
      </c>
      <c r="E80" s="8">
        <f>-'[1]16. SUPPLIER WORKINGS'!$G$52*E35*'[1]16. SUPPLIER WORKINGS'!$E$7/12</f>
        <v>-365.65290882083337</v>
      </c>
      <c r="F80" s="8">
        <f>-'[1]16. SUPPLIER WORKINGS'!$G$52*F35*'[1]16. SUPPLIER WORKINGS'!$E$7/12</f>
        <v>-9.0708965054166679</v>
      </c>
      <c r="G80" s="4">
        <f>F80-E80</f>
        <v>356.5820123154167</v>
      </c>
      <c r="J80" s="3"/>
      <c r="K80" s="3"/>
      <c r="L80" s="2"/>
    </row>
    <row r="81" spans="2:12">
      <c r="C81" s="14" t="s">
        <v>13</v>
      </c>
      <c r="E81" s="4"/>
      <c r="F81" s="8"/>
      <c r="G81" s="4"/>
      <c r="J81" s="3"/>
      <c r="K81" s="3"/>
      <c r="L81" s="2"/>
    </row>
    <row r="82" spans="2:12">
      <c r="C82" s="7" t="s">
        <v>12</v>
      </c>
      <c r="E82" s="4">
        <f>E28*'[1]16. SUPPLIER WORKINGS'!$I$91</f>
        <v>7.3044916166743574</v>
      </c>
      <c r="F82" s="4">
        <f>F28*'[1]16. SUPPLIER WORKINGS'!$I$91</f>
        <v>259.75972927241958</v>
      </c>
      <c r="G82" s="4">
        <f>F82-E82</f>
        <v>252.45523765574521</v>
      </c>
      <c r="J82" s="3"/>
      <c r="K82" s="3"/>
      <c r="L82" s="2"/>
    </row>
    <row r="83" spans="2:12">
      <c r="C83" s="7" t="s">
        <v>11</v>
      </c>
      <c r="E83" s="4">
        <f>E28*'[1]16. SUPPLIER WORKINGS'!$E$92*'[1]16. SUPPLIER WORKINGS'!$I$93</f>
        <v>0.36522458083371789</v>
      </c>
      <c r="F83" s="4">
        <f>F28*'[1]16. SUPPLIER WORKINGS'!$E$92*'[1]16. SUPPLIER WORKINGS'!$I$93</f>
        <v>12.987986463620979</v>
      </c>
      <c r="G83" s="4">
        <f>F83-E83</f>
        <v>12.622761882787261</v>
      </c>
      <c r="J83" s="3"/>
      <c r="K83" s="3"/>
      <c r="L83" s="2"/>
    </row>
    <row r="84" spans="2:12">
      <c r="C84" s="13" t="s">
        <v>10</v>
      </c>
      <c r="E84" s="4"/>
      <c r="F84" s="4"/>
      <c r="G84" s="4"/>
      <c r="J84" s="3"/>
      <c r="K84" s="3"/>
      <c r="L84" s="2"/>
    </row>
    <row r="85" spans="2:12">
      <c r="C85" s="7" t="s">
        <v>9</v>
      </c>
      <c r="E85" s="4">
        <f>'[1]16. SUPPLIER WORKINGS'!E76*('[1]16. SUPPLIER WORKINGS'!$E$77/360)*'[1]16. SUPPLIER WORKINGS'!$E$7</f>
        <v>2812.5</v>
      </c>
      <c r="F85" s="4">
        <f>'[1]16. SUPPLIER WORKINGS'!F76*('[1]16. SUPPLIER WORKINGS'!$E$77/360)*'[1]16. SUPPLIER WORKINGS'!$E$7</f>
        <v>1406.25</v>
      </c>
      <c r="G85" s="4">
        <f>F85-E85</f>
        <v>-1406.25</v>
      </c>
      <c r="J85" s="3"/>
      <c r="K85" s="3"/>
      <c r="L85" s="2"/>
    </row>
    <row r="86" spans="2:12">
      <c r="C86" s="7" t="s">
        <v>8</v>
      </c>
      <c r="E86" s="4">
        <f>'[1]16. SUPPLIER WORKINGS'!$I$96*'17. INVOICE ASSUMPTIONS'!E27</f>
        <v>449.92666512844175</v>
      </c>
      <c r="F86" s="4">
        <f>'[1]16. SUPPLIER WORKINGS'!$I$96*'17. INVOICE ASSUMPTIONS'!F27</f>
        <v>224.98834794646973</v>
      </c>
      <c r="G86" s="4">
        <f>F86-E86</f>
        <v>-224.93831718197202</v>
      </c>
      <c r="J86" s="3"/>
      <c r="K86" s="3"/>
      <c r="L86" s="2"/>
    </row>
    <row r="87" spans="2:12">
      <c r="C87" s="7" t="s">
        <v>7</v>
      </c>
      <c r="E87" s="4">
        <f>E27*'[1]16. SUPPLIER WORKINGS'!$E$97*'[1]16. SUPPLIER WORKINGS'!$I$98</f>
        <v>112.48166628211045</v>
      </c>
      <c r="F87" s="4">
        <f>F27*'[1]16. SUPPLIER WORKINGS'!$E$97*'[1]16. SUPPLIER WORKINGS'!$I$98</f>
        <v>56.24708698661744</v>
      </c>
      <c r="G87" s="4">
        <f>F87-E87</f>
        <v>-56.234579295493013</v>
      </c>
      <c r="J87" s="3"/>
      <c r="K87" s="3"/>
      <c r="L87" s="2"/>
    </row>
    <row r="88" spans="2:12">
      <c r="C88" s="7"/>
      <c r="E88" s="4"/>
      <c r="F88" s="4"/>
      <c r="G88" s="4"/>
      <c r="J88" s="3"/>
      <c r="K88" s="3"/>
      <c r="L88" s="2"/>
    </row>
    <row r="89" spans="2:12">
      <c r="C89" s="11" t="s">
        <v>6</v>
      </c>
      <c r="E89" s="8"/>
      <c r="G89" s="4"/>
      <c r="J89" s="3"/>
      <c r="K89" s="3"/>
      <c r="L89" s="2"/>
    </row>
    <row r="90" spans="2:12">
      <c r="B90" s="12"/>
      <c r="C90" t="s">
        <v>5</v>
      </c>
      <c r="E90" s="4">
        <f>E39*'[1]16. SUPPLIER WORKINGS'!$I$102</f>
        <v>62.53845562221197</v>
      </c>
      <c r="F90" s="4">
        <f>F39*'[1]16. SUPPLIER WORKINGS'!$I$102</f>
        <v>31.269227811105978</v>
      </c>
      <c r="G90" s="4">
        <f>F90-E90</f>
        <v>-31.269227811105992</v>
      </c>
      <c r="J90" s="3"/>
      <c r="K90" s="3"/>
      <c r="L90" s="2"/>
    </row>
    <row r="91" spans="2:12">
      <c r="C91" t="s">
        <v>4</v>
      </c>
      <c r="E91" s="4">
        <f>E40*'[1]16. SUPPLIER WORKINGS'!$I$105</f>
        <v>62.53845562221197</v>
      </c>
      <c r="F91" s="4">
        <f>F40*'[1]16. SUPPLIER WORKINGS'!$I$105</f>
        <v>31.269227811105985</v>
      </c>
      <c r="G91" s="4">
        <f>F91-E91</f>
        <v>-31.269227811105985</v>
      </c>
      <c r="J91" s="3"/>
      <c r="K91" s="3"/>
      <c r="L91" s="2"/>
    </row>
    <row r="92" spans="2:12">
      <c r="J92" s="3"/>
      <c r="K92" s="3"/>
      <c r="L92" s="2"/>
    </row>
    <row r="93" spans="2:12">
      <c r="E93" s="8"/>
      <c r="F93" s="4"/>
      <c r="G93" s="4"/>
      <c r="J93" s="3"/>
      <c r="K93" s="3"/>
      <c r="L93" s="2"/>
    </row>
    <row r="94" spans="2:12">
      <c r="C94" s="11" t="s">
        <v>3</v>
      </c>
      <c r="E94" s="5">
        <f>SUM(E47:E93)</f>
        <v>15989.788442090567</v>
      </c>
      <c r="F94" s="5">
        <f>SUM(F47:F93)</f>
        <v>11576.922897523962</v>
      </c>
      <c r="G94" s="5">
        <f>E94-F94</f>
        <v>4412.8655445666045</v>
      </c>
      <c r="J94" s="3"/>
      <c r="K94" s="3"/>
      <c r="L94" s="2"/>
    </row>
    <row r="95" spans="2:12">
      <c r="C95" t="s">
        <v>2</v>
      </c>
      <c r="E95" s="8">
        <f>E94/E29</f>
        <v>6.1451915611416466</v>
      </c>
      <c r="F95" s="8">
        <f>F94/F29</f>
        <v>4.4492401604627068</v>
      </c>
      <c r="G95" s="10">
        <f>(F95-E95)/E95</f>
        <v>-0.27598023329379628</v>
      </c>
      <c r="J95" s="3"/>
      <c r="K95" s="3"/>
      <c r="L95" s="2"/>
    </row>
    <row r="96" spans="2:12">
      <c r="C96" s="7" t="s">
        <v>1</v>
      </c>
      <c r="E96" s="9">
        <f>E94/(E38*12)</f>
        <v>9.8533172662370249E-4</v>
      </c>
      <c r="F96" s="9">
        <f>F94/(F38*12)</f>
        <v>7.1354234103710129E-4</v>
      </c>
      <c r="G96" s="8"/>
      <c r="J96" s="3"/>
      <c r="K96" s="3"/>
      <c r="L96" s="2"/>
    </row>
    <row r="97" spans="3:12">
      <c r="C97" s="7"/>
      <c r="E97" s="6"/>
      <c r="F97" s="6"/>
      <c r="J97" s="3"/>
      <c r="K97" s="3"/>
      <c r="L97" s="2"/>
    </row>
    <row r="98" spans="3:12">
      <c r="C98" t="s">
        <v>0</v>
      </c>
      <c r="E98" s="4">
        <f>'[1]16. SUPPLIER WORKINGS'!E72*'[1]16. SUPPLIER WORKINGS'!E73</f>
        <v>112500</v>
      </c>
      <c r="F98" s="4">
        <f>'[1]16. SUPPLIER WORKINGS'!F72*'[1]16. SUPPLIER WORKINGS'!F73</f>
        <v>56250</v>
      </c>
      <c r="G98" s="5">
        <f>E98-F98</f>
        <v>56250</v>
      </c>
      <c r="J98" s="3"/>
      <c r="K98" s="3"/>
      <c r="L98" s="2"/>
    </row>
    <row r="99" spans="3:12">
      <c r="E99" s="4"/>
      <c r="F99" s="4"/>
      <c r="J99" s="3"/>
      <c r="K99" s="3"/>
      <c r="L99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 INVOICE ASSUMPTIONS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Anisha Blumenberg</dc:creator>
  <cp:lastModifiedBy>Anisha Blumenberg</cp:lastModifiedBy>
  <dcterms:created xsi:type="dcterms:W3CDTF">2016-02-18T20:11:13Z</dcterms:created>
  <dcterms:modified xsi:type="dcterms:W3CDTF">2016-02-18T20:11:21Z</dcterms:modified>
</cp:coreProperties>
</file>